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<sst xmlns="http://schemas.openxmlformats.org/spreadsheetml/2006/main" count="1829" uniqueCount="278">
  <si>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</si>
  <si>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</si>
  <si>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</si>
  <si>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</si>
  <si>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</si>
  <si>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</si>
  <si>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</si>
  <si>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</si>
  <si>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</si>
  <si>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</si>
  <si>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</si>
  <si>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</si>
  <si>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</si>
  <si>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</si>
  <si>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</si>
  <si>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</si>
  <si>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</si>
  <si>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</si>
  <si>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</si>
  <si>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</si>
  <si>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</si>
  <si>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</si>
  <si>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</si>
  <si>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</si>
  <si>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</si>
  <si>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</si>
  <si>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</si>
  <si>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</si>
  <si>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</si>
  <si>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</si>
  <si>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</si>
  <si>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</si>
  <si>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</si>
  <si>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</si>
  <si>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</si>
  <si>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</si>
  <si>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</si>
  <si>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</si>
  <si>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</si>
  <si>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</si>
  <si>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</si>
  <si>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</si>
  <si>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</si>
  <si>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</si>
  <si>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</si>
  <si>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</si>
  <si>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</si>
  <si>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</si>
  <si>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</si>
  <si>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</si>
  <si>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</si>
  <si>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</si>
  <si>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</si>
  <si>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</si>
  <si>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</si>
  <si>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</si>
  <si>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</si>
  <si>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</si>
  <si>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</si>
  <si>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</si>
  <si>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</si>
  <si>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</si>
  <si>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</si>
  <si>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</si>
  <si>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</si>
  <si>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</si>
  <si>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</si>
  <si>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</si>
  <si>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</si>
  <si>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</si>
  <si>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</si>
  <si>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</si>
  <si>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</si>
  <si>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</si>
  <si>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</si>
  <si>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</si>
  <si>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</si>
  <si>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</si>
  <si>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</si>
  <si>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</si>
  <si>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</si>
  <si>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</si>
  <si>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</si>
  <si>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</si>
  <si>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</si>
  <si>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</si>
  <si>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</si>
  <si>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</si>
  <si>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</si>
  <si>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</si>
  <si>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</si>
  <si>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</si>
  <si>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</si>
  <si>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</si>
  <si>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</si>
  <si>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</si>
  <si>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</si>
  <si>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</si>
  <si>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</si>
  <si>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</si>
  <si>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</si>
  <si>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</si>
  <si>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</si>
  <si>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</si>
  <si>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</si>
  <si>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</si>
  <si>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</si>
  <si>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</si>
  <si>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</si>
  <si>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</si>
  <si>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</si>
  <si>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</si>
  <si>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</si>
  <si>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</si>
  <si>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</si>
  <si>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</si>
  <si>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</si>
  <si>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</si>
  <si>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</si>
  <si>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</si>
  <si>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</si>
  <si>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</si>
  <si>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</si>
  <si>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</si>
  <si>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</si>
  <si>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</si>
  <si>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</si>
  <si>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</si>
  <si>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</si>
  <si>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</si>
  <si>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</si>
  <si>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</si>
  <si>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</si>
  <si>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</si>
  <si>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</si>
  <si>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</si>
  <si>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</si>
  <si>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</si>
  <si>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</si>
  <si>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</si>
  <si>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</si>
  <si>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</si>
  <si>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</si>
  <si>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</si>
  <si>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</si>
  <si>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</si>
  <si>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</si>
  <si>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</si>
  <si>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</si>
  <si>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</si>
  <si>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</si>
  <si>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</si>
  <si>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</si>
  <si>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</si>
  <si>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</si>
  <si>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</si>
  <si>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</si>
  <si>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</si>
  <si>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</si>
  <si>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</si>
  <si>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</si>
  <si>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</si>
  <si>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</si>
  <si>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</si>
  <si>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</si>
  <si>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</si>
  <si>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</si>
  <si>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</si>
  <si>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</si>
  <si>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</si>
  <si>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</si>
  <si>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</si>
  <si>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</si>
  <si>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</si>
  <si>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</si>
  <si>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</si>
  <si>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</si>
  <si>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</si>
  <si>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</si>
  <si>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</si>
  <si>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</si>
  <si>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</si>
  <si>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</si>
  <si>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</si>
  <si>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</si>
  <si>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</si>
  <si>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</si>
  <si>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</si>
  <si>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</si>
  <si>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</si>
  <si>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</si>
  <si>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</si>
  <si>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</si>
  <si>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</si>
  <si>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</si>
  <si>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</si>
  <si>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</si>
  <si>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</si>
  <si>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</si>
  <si>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</si>
  <si>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</si>
  <si>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</si>
  <si>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</si>
  <si>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</si>
  <si>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</si>
  <si>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</si>
  <si>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</si>
  <si>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</si>
  <si>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</si>
  <si>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</si>
  <si>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</si>
  <si>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</si>
  <si>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</si>
  <si>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</si>
  <si>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</si>
  <si>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</si>
  <si>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</si>
  <si>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</si>
  <si>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</si>
  <si>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</si>
  <si>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</si>
  <si>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</si>
  <si>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</si>
  <si>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</si>
  <si>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</si>
  <si>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</si>
  <si>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</si>
  <si>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</si>
  <si>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</si>
  <si>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</si>
  <si>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</si>
  <si>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</si>
  <si>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</si>
  <si>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</si>
  <si>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</si>
  <si>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</si>
  <si>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</si>
  <si>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</si>
  <si>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</si>
  <si>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</si>
  <si>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</si>
  <si>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</si>
  <si>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</si>
  <si>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</si>
  <si>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</si>
  <si>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</si>
  <si>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</si>
  <si>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</si>
  <si>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</si>
  <si>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</si>
  <si>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</si>
  <si>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</si>
  <si>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</si>
  <si>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</si>
  <si>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</si>
  <si>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</si>
  <si>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</si>
  <si>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</si>
  <si>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</si>
  <si>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</si>
  <si>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</si>
  <si>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</si>
  <si>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</si>
  <si>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</si>
  <si>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</si>
  <si>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</si>
  <si>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</si>
  <si>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</si>
  <si>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</si>
  <si>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</si>
  <si>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</si>
  <si>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</si>
  <si>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</si>
  <si>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</si>
  <si>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</si>
  <si>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</si>
  <si>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15.09.2014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</si>
  <si>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12.09.14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</si>
</sst>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9"/>
      <sheetName val="депозит"/>
      <sheetName val="залишки  (2)"/>
      <sheetName val="надх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жовтень"/>
      <sheetName val="листопад"/>
      <sheetName val="Лист1"/>
      <sheetName val="грудень"/>
    </sheetNames>
    <sheetDataSet>
      <sheetData sheetId="12">
        <row r="8">
          <cell r="G8">
            <v>0</v>
          </cell>
        </row>
        <row r="9">
          <cell r="G9">
            <v>9020596.530000001</v>
          </cell>
        </row>
      </sheetData>
      <sheetData sheetId="13">
        <row r="52">
          <cell r="B52">
            <v>24260690.059999995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53" sqref="G15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1" t="s">
        <v>276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272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269</v>
      </c>
      <c r="H4" s="198" t="s">
        <v>270</v>
      </c>
      <c r="I4" s="200" t="s">
        <v>188</v>
      </c>
      <c r="J4" s="202" t="s">
        <v>189</v>
      </c>
      <c r="K4" s="204" t="s">
        <v>274</v>
      </c>
      <c r="L4" s="205"/>
      <c r="M4" s="192"/>
      <c r="N4" s="175" t="s">
        <v>277</v>
      </c>
      <c r="O4" s="200" t="s">
        <v>136</v>
      </c>
      <c r="P4" s="200" t="s">
        <v>135</v>
      </c>
      <c r="Q4" s="204" t="s">
        <v>275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268</v>
      </c>
      <c r="F5" s="195"/>
      <c r="G5" s="197"/>
      <c r="H5" s="199"/>
      <c r="I5" s="201"/>
      <c r="J5" s="203"/>
      <c r="K5" s="206"/>
      <c r="L5" s="207"/>
      <c r="M5" s="151" t="s">
        <v>271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351358.79999999993</v>
      </c>
      <c r="F8" s="22">
        <f>F10+F19+F33+F56+F68+F30</f>
        <v>322501.74</v>
      </c>
      <c r="G8" s="22">
        <f aca="true" t="shared" si="0" ref="G8:G30">F8-E8</f>
        <v>-28857.05999999994</v>
      </c>
      <c r="H8" s="51">
        <f>F8/E8*100</f>
        <v>91.78701088460002</v>
      </c>
      <c r="I8" s="36">
        <f aca="true" t="shared" si="1" ref="I8:I17">F8-D8</f>
        <v>-165974.56</v>
      </c>
      <c r="J8" s="36">
        <f aca="true" t="shared" si="2" ref="J8:J14">F8/D8*100</f>
        <v>66.02198305219721</v>
      </c>
      <c r="K8" s="36">
        <f>F8-344287.2</f>
        <v>-21785.46000000002</v>
      </c>
      <c r="L8" s="136">
        <f>F8/344287.2</f>
        <v>0.9367230033530145</v>
      </c>
      <c r="M8" s="22">
        <f>M10+M19+M33+M56+M68+M30</f>
        <v>39345.409999999996</v>
      </c>
      <c r="N8" s="22">
        <f>N10+N19+N33+N56+N68+N30</f>
        <v>13565.970000000025</v>
      </c>
      <c r="O8" s="36">
        <f aca="true" t="shared" si="3" ref="O8:O71">N8-M8</f>
        <v>-25779.439999999973</v>
      </c>
      <c r="P8" s="36">
        <f>F8/M8*100</f>
        <v>819.6680121010305</v>
      </c>
      <c r="Q8" s="36">
        <f>N8-37510.4</f>
        <v>-23944.42999999998</v>
      </c>
      <c r="R8" s="134">
        <f>N8/37510.4</f>
        <v>0.36165889993175293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262618.2</v>
      </c>
      <c r="G9" s="22">
        <f t="shared" si="0"/>
        <v>262618.2</v>
      </c>
      <c r="H9" s="20"/>
      <c r="I9" s="56">
        <f t="shared" si="1"/>
        <v>-124395</v>
      </c>
      <c r="J9" s="56">
        <f t="shared" si="2"/>
        <v>67.8576854742939</v>
      </c>
      <c r="K9" s="56"/>
      <c r="L9" s="135"/>
      <c r="M9" s="20">
        <f>M10+M17</f>
        <v>32323.5</v>
      </c>
      <c r="N9" s="20">
        <f>N10+N17</f>
        <v>12339.770000000019</v>
      </c>
      <c r="O9" s="36">
        <f t="shared" si="3"/>
        <v>-19983.72999999998</v>
      </c>
      <c r="P9" s="56">
        <f>F9/M9*100</f>
        <v>812.4683279966588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262618.2</v>
      </c>
      <c r="G10" s="49">
        <f t="shared" si="0"/>
        <v>-24841.29999999999</v>
      </c>
      <c r="H10" s="40">
        <f aca="true" t="shared" si="4" ref="H10:H17">F10/E10*100</f>
        <v>91.35833047785863</v>
      </c>
      <c r="I10" s="56">
        <f t="shared" si="1"/>
        <v>-124395</v>
      </c>
      <c r="J10" s="56">
        <f t="shared" si="2"/>
        <v>67.8576854742939</v>
      </c>
      <c r="K10" s="141">
        <f>F10-272674.4</f>
        <v>-10056.200000000012</v>
      </c>
      <c r="L10" s="142">
        <f>F10/272674.4</f>
        <v>0.9631201168866604</v>
      </c>
      <c r="M10" s="40">
        <f>E10-серпень!E10</f>
        <v>32323.5</v>
      </c>
      <c r="N10" s="40">
        <f>F10-серпень!F10</f>
        <v>12339.770000000019</v>
      </c>
      <c r="O10" s="53">
        <f t="shared" si="3"/>
        <v>-19983.72999999998</v>
      </c>
      <c r="P10" s="56">
        <f aca="true" t="shared" si="5" ref="P10:P17">N10/M10*100</f>
        <v>38.17584729376466</v>
      </c>
      <c r="Q10" s="141">
        <f>N10-29967.1</f>
        <v>-17627.32999999998</v>
      </c>
      <c r="R10" s="142">
        <f>N10/29967.1</f>
        <v>0.4117772490497919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-120.1</v>
      </c>
      <c r="G19" s="49">
        <f t="shared" si="0"/>
        <v>-1176.6999999999998</v>
      </c>
      <c r="H19" s="40">
        <f aca="true" t="shared" si="6" ref="H19:H29">F19/E19*100</f>
        <v>-11.366647738027638</v>
      </c>
      <c r="I19" s="56">
        <f aca="true" t="shared" si="7" ref="I19:I29">F19-D19</f>
        <v>-1120.1</v>
      </c>
      <c r="J19" s="56">
        <f aca="true" t="shared" si="8" ref="J19:J29">F19/D19*100</f>
        <v>-12.01</v>
      </c>
      <c r="K19" s="167">
        <f>F19-6479.1</f>
        <v>-6599.200000000001</v>
      </c>
      <c r="L19" s="168">
        <f>F19/6479.1</f>
        <v>-0.018536525134663764</v>
      </c>
      <c r="M19" s="40">
        <f>E19-серпень!E19</f>
        <v>11</v>
      </c>
      <c r="N19" s="40">
        <f>F19-серпень!F19</f>
        <v>-192.81</v>
      </c>
      <c r="O19" s="53">
        <f t="shared" si="3"/>
        <v>-203.81</v>
      </c>
      <c r="P19" s="56">
        <f aca="true" t="shared" si="9" ref="P19:P29">N19/M19*100</f>
        <v>-1752.8181818181818</v>
      </c>
      <c r="Q19" s="56">
        <f>N19-362</f>
        <v>-554.81</v>
      </c>
      <c r="R19" s="135">
        <f>N19/362</f>
        <v>-0.5326243093922652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379.98</v>
      </c>
      <c r="G29" s="49">
        <f t="shared" si="0"/>
        <v>-416.62</v>
      </c>
      <c r="H29" s="40">
        <f t="shared" si="6"/>
        <v>47.70022596033141</v>
      </c>
      <c r="I29" s="56">
        <f t="shared" si="7"/>
        <v>-550.02</v>
      </c>
      <c r="J29" s="56">
        <f t="shared" si="8"/>
        <v>40.85806451612903</v>
      </c>
      <c r="K29" s="148">
        <f>F29-2860</f>
        <v>-2480.02</v>
      </c>
      <c r="L29" s="149">
        <f>F29/2860</f>
        <v>0.13286013986013986</v>
      </c>
      <c r="M29" s="40">
        <f>E29-серпень!E29</f>
        <v>11</v>
      </c>
      <c r="N29" s="40">
        <f>F29-серпень!F29</f>
        <v>-193.14</v>
      </c>
      <c r="O29" s="148">
        <f t="shared" si="3"/>
        <v>-204.14</v>
      </c>
      <c r="P29" s="145">
        <f t="shared" si="9"/>
        <v>-1755.8181818181818</v>
      </c>
      <c r="Q29" s="148">
        <f>N29-361.95</f>
        <v>-555.0899999999999</v>
      </c>
      <c r="R29" s="149">
        <f>N29/361.95</f>
        <v>-0.5336096145876502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</v>
      </c>
      <c r="F33" s="169">
        <v>55264.16</v>
      </c>
      <c r="G33" s="49">
        <f aca="true" t="shared" si="14" ref="G33:G72">F33-E33</f>
        <v>-2437.939999999995</v>
      </c>
      <c r="H33" s="40">
        <f aca="true" t="shared" si="15" ref="H33:H67">F33/E33*100</f>
        <v>95.77495446439559</v>
      </c>
      <c r="I33" s="56">
        <f>F33-D33</f>
        <v>-38301.84</v>
      </c>
      <c r="J33" s="56">
        <f aca="true" t="shared" si="16" ref="J33:J72">F33/D33*100</f>
        <v>59.06436098582819</v>
      </c>
      <c r="K33" s="141">
        <f>F33-60413.2</f>
        <v>-5149.039999999994</v>
      </c>
      <c r="L33" s="142">
        <f>F33/60413.2</f>
        <v>0.9147696198843962</v>
      </c>
      <c r="M33" s="40">
        <f>E33-серпень!E33</f>
        <v>6401.309999999998</v>
      </c>
      <c r="N33" s="40">
        <f>F33-серпень!F33</f>
        <v>971.4200000000055</v>
      </c>
      <c r="O33" s="53">
        <f t="shared" si="3"/>
        <v>-5429.889999999992</v>
      </c>
      <c r="P33" s="56">
        <f aca="true" t="shared" si="17" ref="P33:P67">N33/M33*100</f>
        <v>15.17533129937475</v>
      </c>
      <c r="Q33" s="141">
        <f>N33-6624.9</f>
        <v>-5653.479999999994</v>
      </c>
      <c r="R33" s="142">
        <f>N33/6624.9</f>
        <v>0.14663164727014832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41019.94</v>
      </c>
      <c r="G55" s="144">
        <f t="shared" si="14"/>
        <v>-1451.8999999999942</v>
      </c>
      <c r="H55" s="146">
        <f t="shared" si="15"/>
        <v>96.58149964776663</v>
      </c>
      <c r="I55" s="145">
        <f t="shared" si="18"/>
        <v>-29246.059999999998</v>
      </c>
      <c r="J55" s="145">
        <f t="shared" si="16"/>
        <v>58.37807759086898</v>
      </c>
      <c r="K55" s="148">
        <f>F55-43813.51</f>
        <v>-2793.5699999999997</v>
      </c>
      <c r="L55" s="149">
        <f>F55/43813.51</f>
        <v>0.9362395297706119</v>
      </c>
      <c r="M55" s="40">
        <f>E55-серпень!E55</f>
        <v>4681.3499999999985</v>
      </c>
      <c r="N55" s="40">
        <f>F55-серпень!F55</f>
        <v>879.6700000000055</v>
      </c>
      <c r="O55" s="148">
        <f t="shared" si="3"/>
        <v>-3801.679999999993</v>
      </c>
      <c r="P55" s="148">
        <f t="shared" si="17"/>
        <v>18.79094705587076</v>
      </c>
      <c r="Q55" s="160">
        <f>N55-4961.43</f>
        <v>-4081.7599999999948</v>
      </c>
      <c r="R55" s="161">
        <f>N55/7961.43</f>
        <v>0.11049145693675702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5113.5</v>
      </c>
      <c r="F56" s="169">
        <f>1.51+4733.37</f>
        <v>4734.88</v>
      </c>
      <c r="G56" s="49">
        <f t="shared" si="14"/>
        <v>-378.6199999999999</v>
      </c>
      <c r="H56" s="40">
        <f t="shared" si="15"/>
        <v>92.59567810697175</v>
      </c>
      <c r="I56" s="56">
        <f t="shared" si="18"/>
        <v>-2125.12</v>
      </c>
      <c r="J56" s="56">
        <f t="shared" si="16"/>
        <v>69.02157434402334</v>
      </c>
      <c r="K56" s="56">
        <f>F56-4694.5</f>
        <v>40.38000000000011</v>
      </c>
      <c r="L56" s="135">
        <f>F56/4694.5</f>
        <v>1.0086015550111833</v>
      </c>
      <c r="M56" s="40">
        <f>E56-серпень!E56</f>
        <v>609.6000000000004</v>
      </c>
      <c r="N56" s="40">
        <f>F56-серпень!F56</f>
        <v>447.59000000000015</v>
      </c>
      <c r="O56" s="53">
        <f t="shared" si="3"/>
        <v>-162.01000000000022</v>
      </c>
      <c r="P56" s="56">
        <f t="shared" si="17"/>
        <v>73.42355643044618</v>
      </c>
      <c r="Q56" s="56">
        <f>N56-556.2</f>
        <v>-108.6099999999999</v>
      </c>
      <c r="R56" s="135">
        <f>N56/556.2</f>
        <v>0.8047285149226899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F68-1</f>
        <v>0.29000000000000004</v>
      </c>
      <c r="L68" s="135"/>
      <c r="M68" s="40">
        <f>E68-серпень!E68</f>
        <v>0</v>
      </c>
      <c r="N68" s="40">
        <f>F68-серпень!F68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9540.93</v>
      </c>
      <c r="G74" s="50">
        <f aca="true" t="shared" si="24" ref="G74:G92">F74-E74</f>
        <v>-2639.0699999999997</v>
      </c>
      <c r="H74" s="51">
        <f aca="true" t="shared" si="25" ref="H74:H87">F74/E74*100</f>
        <v>78.33275862068966</v>
      </c>
      <c r="I74" s="36">
        <f aca="true" t="shared" si="26" ref="I74:I92">F74-D74</f>
        <v>-8817.369999999999</v>
      </c>
      <c r="J74" s="36">
        <f aca="true" t="shared" si="27" ref="J74:J92">F74/D74*100</f>
        <v>51.97066177151479</v>
      </c>
      <c r="K74" s="36">
        <f>F74-14585.4</f>
        <v>-5044.469999999999</v>
      </c>
      <c r="L74" s="136">
        <f>F74/14585.4</f>
        <v>0.6541424986630466</v>
      </c>
      <c r="M74" s="22">
        <f>M77+M86+M88+M89+M94+M95+M96+M97+M99+M87+M104</f>
        <v>1580.5</v>
      </c>
      <c r="N74" s="22">
        <f>N77+N86+N88+N89+N94+N95+N96+N97+N99+N32+N104+N87+N103</f>
        <v>931.1999999999998</v>
      </c>
      <c r="O74" s="55">
        <f aca="true" t="shared" si="28" ref="O74:O92">N74-M74</f>
        <v>-649.3000000000002</v>
      </c>
      <c r="P74" s="36">
        <f>N74/M74*100</f>
        <v>58.918063903827885</v>
      </c>
      <c r="Q74" s="36">
        <f>N74-1622.9</f>
        <v>-691.7000000000003</v>
      </c>
      <c r="R74" s="136">
        <f>N74/1622.9</f>
        <v>0.5737876640581673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F87-210.3</f>
        <v>45.47</v>
      </c>
      <c r="L87" s="135">
        <f>F87/210.3</f>
        <v>1.2162149310508796</v>
      </c>
      <c r="M87" s="40">
        <f>E87-серпень!E87</f>
        <v>0</v>
      </c>
      <c r="N87" s="40">
        <f>F87-серпень!F87</f>
        <v>0</v>
      </c>
      <c r="O87" s="53">
        <f t="shared" si="28"/>
        <v>0</v>
      </c>
      <c r="P87" s="56" t="e">
        <f t="shared" si="29"/>
        <v>#DIV/0!</v>
      </c>
      <c r="Q87" s="56">
        <f>N87-12.4</f>
        <v>-12.4</v>
      </c>
      <c r="R87" s="135">
        <f>N87/12.4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90</v>
      </c>
      <c r="G89" s="49">
        <f t="shared" si="24"/>
        <v>-39</v>
      </c>
      <c r="H89" s="40">
        <f>F89/E89*100</f>
        <v>69.76744186046511</v>
      </c>
      <c r="I89" s="56">
        <f t="shared" si="26"/>
        <v>-85</v>
      </c>
      <c r="J89" s="56">
        <f t="shared" si="27"/>
        <v>51.42857142857142</v>
      </c>
      <c r="K89" s="56">
        <f>F89-123.2</f>
        <v>-33.2</v>
      </c>
      <c r="L89" s="135">
        <f>F89/123.2</f>
        <v>0.7305194805194805</v>
      </c>
      <c r="M89" s="40">
        <f>E89-серпень!E89</f>
        <v>15</v>
      </c>
      <c r="N89" s="40">
        <f>F89-серпень!F89</f>
        <v>7.640000000000001</v>
      </c>
      <c r="O89" s="53">
        <f t="shared" si="28"/>
        <v>-7.359999999999999</v>
      </c>
      <c r="P89" s="56">
        <f>N89/M89*100</f>
        <v>50.933333333333344</v>
      </c>
      <c r="Q89" s="56">
        <f>N89-14.8</f>
        <v>-7.16</v>
      </c>
      <c r="R89" s="135">
        <f>N89/14.8</f>
        <v>0.5162162162162163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723.54</v>
      </c>
      <c r="G96" s="49">
        <f t="shared" si="31"/>
        <v>-70.96000000000004</v>
      </c>
      <c r="H96" s="40">
        <f>F96/E96*100</f>
        <v>91.06859660163624</v>
      </c>
      <c r="I96" s="56">
        <f t="shared" si="32"/>
        <v>-476.46000000000004</v>
      </c>
      <c r="J96" s="56">
        <f>F96/D96*100</f>
        <v>60.295</v>
      </c>
      <c r="K96" s="56">
        <f>F96-795.5</f>
        <v>-71.96000000000004</v>
      </c>
      <c r="L96" s="135">
        <f>F96/795.5</f>
        <v>0.9095411690760528</v>
      </c>
      <c r="M96" s="40">
        <f>E96-серпень!E96</f>
        <v>100</v>
      </c>
      <c r="N96" s="40">
        <f>F96-серпень!F96</f>
        <v>37.879999999999995</v>
      </c>
      <c r="O96" s="53">
        <f t="shared" si="33"/>
        <v>-62.120000000000005</v>
      </c>
      <c r="P96" s="56">
        <f>N96/M96*100</f>
        <v>37.879999999999995</v>
      </c>
      <c r="Q96" s="56">
        <f>N96-102.1</f>
        <v>-64.22</v>
      </c>
      <c r="R96" s="135">
        <f>N96/102.1</f>
        <v>0.3710088148873653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2958.6</v>
      </c>
      <c r="G99" s="49">
        <f t="shared" si="31"/>
        <v>-48.40000000000009</v>
      </c>
      <c r="H99" s="40">
        <f>F99/E99*100</f>
        <v>98.390422347855</v>
      </c>
      <c r="I99" s="56">
        <f t="shared" si="32"/>
        <v>-1614.1</v>
      </c>
      <c r="J99" s="56">
        <f>F99/D99*100</f>
        <v>64.70137992870733</v>
      </c>
      <c r="K99" s="56">
        <f>F99-3411.3</f>
        <v>-452.7000000000003</v>
      </c>
      <c r="L99" s="135">
        <f>F99/3411.3</f>
        <v>0.8672939934922169</v>
      </c>
      <c r="M99" s="40">
        <f>E99-серпень!E99</f>
        <v>410</v>
      </c>
      <c r="N99" s="40">
        <f>F99-серпень!F99</f>
        <v>255.94000000000005</v>
      </c>
      <c r="O99" s="53">
        <f t="shared" si="33"/>
        <v>-154.05999999999995</v>
      </c>
      <c r="P99" s="56">
        <f>N99/M99*100</f>
        <v>62.42439024390245</v>
      </c>
      <c r="Q99" s="56">
        <f>N99-432.2</f>
        <v>-176.25999999999993</v>
      </c>
      <c r="R99" s="135">
        <f>N99/432.2</f>
        <v>0.5921795465062473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727.9</v>
      </c>
      <c r="G102" s="144"/>
      <c r="H102" s="146"/>
      <c r="I102" s="145"/>
      <c r="J102" s="145"/>
      <c r="K102" s="148">
        <f>F102-545.2</f>
        <v>182.69999999999993</v>
      </c>
      <c r="L102" s="149">
        <f>F102/545.2</f>
        <v>1.3351063829787233</v>
      </c>
      <c r="M102" s="40">
        <f>E102-серпень!E102</f>
        <v>0</v>
      </c>
      <c r="N102" s="40">
        <f>F102-серпень!F102</f>
        <v>91.89999999999998</v>
      </c>
      <c r="O102" s="53"/>
      <c r="P102" s="60"/>
      <c r="Q102" s="60">
        <f>N102-124.1</f>
        <v>-32.20000000000002</v>
      </c>
      <c r="R102" s="138">
        <f>N102/124.1</f>
        <v>0.740531829170024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17.23</v>
      </c>
      <c r="G105" s="49">
        <f>F105-E105</f>
        <v>-6.969999999999999</v>
      </c>
      <c r="H105" s="40">
        <f>F105/E105*100</f>
        <v>71.19834710743802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E105-серпень!E105</f>
        <v>3</v>
      </c>
      <c r="N105" s="40">
        <f>F105-серпень!F105</f>
        <v>0</v>
      </c>
      <c r="O105" s="53">
        <f t="shared" si="35"/>
        <v>-3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363562.99999999994</v>
      </c>
      <c r="F107" s="22">
        <f>F8+F74+F105+F106</f>
        <v>332060.26999999996</v>
      </c>
      <c r="G107" s="50">
        <f>F107-E107</f>
        <v>-31502.72999999998</v>
      </c>
      <c r="H107" s="51">
        <f>F107/E107*100</f>
        <v>91.3350010864692</v>
      </c>
      <c r="I107" s="36">
        <f t="shared" si="34"/>
        <v>-174819.33000000002</v>
      </c>
      <c r="J107" s="36">
        <f t="shared" si="36"/>
        <v>65.51067945918517</v>
      </c>
      <c r="K107" s="36">
        <f>F107-358888.5</f>
        <v>-26828.23000000004</v>
      </c>
      <c r="L107" s="136">
        <f>F107/358888.5</f>
        <v>0.925246336954235</v>
      </c>
      <c r="M107" s="22">
        <f>M8+M74+M105+M106</f>
        <v>40928.909999999996</v>
      </c>
      <c r="N107" s="22">
        <f>N8+N74+N105+N106</f>
        <v>14497.170000000024</v>
      </c>
      <c r="O107" s="55">
        <f t="shared" si="35"/>
        <v>-26431.739999999972</v>
      </c>
      <c r="P107" s="36">
        <f>N107/M107*100</f>
        <v>35.42036667968931</v>
      </c>
      <c r="Q107" s="36">
        <f>N107-39133.2</f>
        <v>-24636.029999999973</v>
      </c>
      <c r="R107" s="136">
        <f>N107/39133.2</f>
        <v>0.3704570543681586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288254</v>
      </c>
      <c r="F108" s="71">
        <f>F10-F18+F96</f>
        <v>263341.74</v>
      </c>
      <c r="G108" s="71">
        <f>G10-G18+G96</f>
        <v>-24912.259999999987</v>
      </c>
      <c r="H108" s="72">
        <f>F108/E108*100</f>
        <v>91.35753189895023</v>
      </c>
      <c r="I108" s="52">
        <f t="shared" si="34"/>
        <v>-124871.46000000002</v>
      </c>
      <c r="J108" s="52">
        <f t="shared" si="36"/>
        <v>67.83430857065139</v>
      </c>
      <c r="K108" s="52">
        <f>F108-273558.9</f>
        <v>-10217.160000000033</v>
      </c>
      <c r="L108" s="137">
        <f>F108/273558.9</f>
        <v>0.9626509684020516</v>
      </c>
      <c r="M108" s="71">
        <f>M10-M18+M96</f>
        <v>32423.5</v>
      </c>
      <c r="N108" s="71">
        <f>N10-N18+N96</f>
        <v>12377.650000000018</v>
      </c>
      <c r="O108" s="53">
        <f t="shared" si="35"/>
        <v>-20045.849999999984</v>
      </c>
      <c r="P108" s="52">
        <f>N108/M108*100</f>
        <v>38.17493484663907</v>
      </c>
      <c r="Q108" s="52">
        <f>N108-30069.2</f>
        <v>-17691.54999999998</v>
      </c>
      <c r="R108" s="137">
        <f>N108/30069.2</f>
        <v>0.41163881978902056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75308.99999999994</v>
      </c>
      <c r="F109" s="71">
        <f>F107-F108</f>
        <v>68718.52999999997</v>
      </c>
      <c r="G109" s="62">
        <f>F109-E109</f>
        <v>-6590.469999999972</v>
      </c>
      <c r="H109" s="72">
        <f>F109/E109*100</f>
        <v>91.24876176818178</v>
      </c>
      <c r="I109" s="52">
        <f t="shared" si="34"/>
        <v>-49947.869999999995</v>
      </c>
      <c r="J109" s="52">
        <f t="shared" si="36"/>
        <v>57.90900372809825</v>
      </c>
      <c r="K109" s="52">
        <f>F109-85329.7</f>
        <v>-16611.170000000027</v>
      </c>
      <c r="L109" s="137">
        <f>F109/85329.7</f>
        <v>0.8053295628602933</v>
      </c>
      <c r="M109" s="71">
        <f>M107-M108</f>
        <v>8505.409999999996</v>
      </c>
      <c r="N109" s="71">
        <f>N107-N108</f>
        <v>2119.520000000006</v>
      </c>
      <c r="O109" s="53">
        <f t="shared" si="35"/>
        <v>-6385.88999999999</v>
      </c>
      <c r="P109" s="52">
        <f>N109/M109*100</f>
        <v>24.919668775520602</v>
      </c>
      <c r="Q109" s="52">
        <f>N109-9064</f>
        <v>-6944.479999999994</v>
      </c>
      <c r="R109" s="137">
        <f>N109/9064</f>
        <v>0.23383936451897683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263341.74</v>
      </c>
      <c r="G110" s="111">
        <f>F110-E110</f>
        <v>-19542.359999999986</v>
      </c>
      <c r="H110" s="72">
        <f>F110/E110*100</f>
        <v>93.09174322628951</v>
      </c>
      <c r="I110" s="81">
        <f t="shared" si="34"/>
        <v>-124871.46000000002</v>
      </c>
      <c r="J110" s="52">
        <f t="shared" si="36"/>
        <v>67.83430857065139</v>
      </c>
      <c r="K110" s="52"/>
      <c r="L110" s="137"/>
      <c r="M110" s="72">
        <f>E110-серпень!E110</f>
        <v>32423.49999999997</v>
      </c>
      <c r="N110" s="71">
        <f>N108</f>
        <v>12377.650000000018</v>
      </c>
      <c r="O110" s="63">
        <f t="shared" si="35"/>
        <v>-20045.849999999955</v>
      </c>
      <c r="P110" s="52">
        <f>N110/M110*100</f>
        <v>38.174934846639104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-0.74</v>
      </c>
      <c r="G114" s="49">
        <f aca="true" t="shared" si="37" ref="G114:G126">F114-E114</f>
        <v>-0.74</v>
      </c>
      <c r="H114" s="40"/>
      <c r="I114" s="60">
        <f aca="true" t="shared" si="38" ref="I114:I125">F114-D114</f>
        <v>-0.74</v>
      </c>
      <c r="J114" s="60"/>
      <c r="K114" s="60">
        <f>F114-21.5</f>
        <v>-22.24</v>
      </c>
      <c r="L114" s="138">
        <f>F114/21.5</f>
        <v>-0.03441860465116279</v>
      </c>
      <c r="M114" s="40">
        <f>E114-серпень!E114</f>
        <v>0</v>
      </c>
      <c r="N114" s="40">
        <f>F114-серпень!F114</f>
        <v>0.21999999999999997</v>
      </c>
      <c r="O114" s="53"/>
      <c r="P114" s="60"/>
      <c r="Q114" s="60">
        <f>N114-0.9</f>
        <v>-0.68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1044.19</v>
      </c>
      <c r="G115" s="49">
        <f t="shared" si="37"/>
        <v>-1635.4099999999999</v>
      </c>
      <c r="H115" s="40">
        <f aca="true" t="shared" si="39" ref="H115:H126">F115/E115*100</f>
        <v>38.968129571577855</v>
      </c>
      <c r="I115" s="60">
        <f t="shared" si="38"/>
        <v>-2627.31</v>
      </c>
      <c r="J115" s="60">
        <f aca="true" t="shared" si="40" ref="J115:J121">F115/D115*100</f>
        <v>28.44041944709247</v>
      </c>
      <c r="K115" s="60">
        <f>F115-3077.6</f>
        <v>-2033.4099999999999</v>
      </c>
      <c r="L115" s="138">
        <f>F115/3077.6</f>
        <v>0.339287106836496</v>
      </c>
      <c r="M115" s="40">
        <f>E115-серпень!E115</f>
        <v>327.5</v>
      </c>
      <c r="N115" s="40">
        <f>F115-серпень!F115</f>
        <v>58.67000000000007</v>
      </c>
      <c r="O115" s="53">
        <f aca="true" t="shared" si="41" ref="O115:O126">N115-M115</f>
        <v>-268.8299999999999</v>
      </c>
      <c r="P115" s="60">
        <f>N115/M115*100</f>
        <v>17.914503816793914</v>
      </c>
      <c r="Q115" s="60">
        <f>N115-150.5</f>
        <v>-91.82999999999993</v>
      </c>
      <c r="R115" s="138">
        <f>N115/150.5</f>
        <v>0.38983388704318983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233.27</v>
      </c>
      <c r="G116" s="49">
        <f t="shared" si="37"/>
        <v>32.77000000000001</v>
      </c>
      <c r="H116" s="40">
        <f t="shared" si="39"/>
        <v>116.34413965087282</v>
      </c>
      <c r="I116" s="60">
        <f t="shared" si="38"/>
        <v>-34.83000000000001</v>
      </c>
      <c r="J116" s="60">
        <f t="shared" si="40"/>
        <v>87.00857888847445</v>
      </c>
      <c r="K116" s="60">
        <f>F116-200.1</f>
        <v>33.170000000000016</v>
      </c>
      <c r="L116" s="138">
        <f>F116/200.1</f>
        <v>1.165767116441779</v>
      </c>
      <c r="M116" s="40">
        <f>E116-серпень!E116</f>
        <v>22</v>
      </c>
      <c r="N116" s="40">
        <f>F116-серпень!F116</f>
        <v>25.950000000000017</v>
      </c>
      <c r="O116" s="53">
        <f t="shared" si="41"/>
        <v>3.950000000000017</v>
      </c>
      <c r="P116" s="60">
        <f>N116/M116*100</f>
        <v>117.95454545454554</v>
      </c>
      <c r="Q116" s="60">
        <f>N116-24.4</f>
        <v>1.5500000000000185</v>
      </c>
      <c r="R116" s="138">
        <f>N116/24.4</f>
        <v>1.0635245901639352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1276.72</v>
      </c>
      <c r="G117" s="62">
        <f t="shared" si="37"/>
        <v>-1603.3799999999999</v>
      </c>
      <c r="H117" s="72">
        <f t="shared" si="39"/>
        <v>44.32901635359884</v>
      </c>
      <c r="I117" s="61">
        <f t="shared" si="38"/>
        <v>-2662.88</v>
      </c>
      <c r="J117" s="61">
        <f t="shared" si="40"/>
        <v>32.407351000101535</v>
      </c>
      <c r="K117" s="61">
        <f>F117-3299.2</f>
        <v>-2022.4799999999998</v>
      </c>
      <c r="L117" s="139">
        <f>F117/3299.2</f>
        <v>0.3869786614936955</v>
      </c>
      <c r="M117" s="62">
        <f>M115+M116+M114</f>
        <v>349.5</v>
      </c>
      <c r="N117" s="38">
        <f>SUM(N114:N116)</f>
        <v>84.84000000000009</v>
      </c>
      <c r="O117" s="61">
        <f t="shared" si="41"/>
        <v>-264.6599999999999</v>
      </c>
      <c r="P117" s="61">
        <f>N117/M117*100</f>
        <v>24.274678111588006</v>
      </c>
      <c r="Q117" s="61">
        <f>N117-175.8</f>
        <v>-90.95999999999992</v>
      </c>
      <c r="R117" s="139">
        <f>N117/175.8</f>
        <v>0.4825938566552906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290.65</v>
      </c>
      <c r="G119" s="49">
        <f t="shared" si="37"/>
        <v>103.14999999999998</v>
      </c>
      <c r="H119" s="40">
        <f t="shared" si="39"/>
        <v>155.01333333333332</v>
      </c>
      <c r="I119" s="60">
        <f t="shared" si="38"/>
        <v>23.44999999999999</v>
      </c>
      <c r="J119" s="60">
        <f t="shared" si="40"/>
        <v>108.77619760479043</v>
      </c>
      <c r="K119" s="60">
        <f>F119-174.4</f>
        <v>116.24999999999997</v>
      </c>
      <c r="L119" s="138">
        <f>F119/174.4</f>
        <v>1.666571100917431</v>
      </c>
      <c r="M119" s="40">
        <f>E119-серпень!E119</f>
        <v>5</v>
      </c>
      <c r="N119" s="40">
        <f>F119-серпень!F119</f>
        <v>1.849999999999966</v>
      </c>
      <c r="O119" s="53">
        <f>N119-M119</f>
        <v>-3.150000000000034</v>
      </c>
      <c r="P119" s="60">
        <f>N119/M119*100</f>
        <v>36.99999999999932</v>
      </c>
      <c r="Q119" s="60">
        <f>N119-1.4</f>
        <v>0.449999999999966</v>
      </c>
      <c r="R119" s="138">
        <f>N119/1.4</f>
        <v>1.3214285714285472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57493.79</v>
      </c>
      <c r="G120" s="49">
        <f t="shared" si="37"/>
        <v>4981.190000000002</v>
      </c>
      <c r="H120" s="40">
        <f t="shared" si="39"/>
        <v>109.48570438332897</v>
      </c>
      <c r="I120" s="53">
        <f t="shared" si="38"/>
        <v>-14482.200000000004</v>
      </c>
      <c r="J120" s="60">
        <f t="shared" si="40"/>
        <v>79.87912357996048</v>
      </c>
      <c r="K120" s="60">
        <f>F120-50659.1</f>
        <v>6834.690000000002</v>
      </c>
      <c r="L120" s="138">
        <f>F120/50659.1</f>
        <v>1.1349153459102117</v>
      </c>
      <c r="M120" s="40">
        <f>E120-серпень!E120</f>
        <v>3100</v>
      </c>
      <c r="N120" s="40">
        <f>F120-серпень!F120</f>
        <v>1379.1600000000035</v>
      </c>
      <c r="O120" s="53">
        <f t="shared" si="41"/>
        <v>-1720.8399999999965</v>
      </c>
      <c r="P120" s="60">
        <f aca="true" t="shared" si="42" ref="P120:P125">N120/M120*100</f>
        <v>44.48903225806463</v>
      </c>
      <c r="Q120" s="60">
        <f>N120-3034.9</f>
        <v>-1655.7399999999966</v>
      </c>
      <c r="R120" s="138">
        <f>N120/3034.9</f>
        <v>0.45443342449504215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12928.3</v>
      </c>
      <c r="F122" s="174">
        <v>2311.79</v>
      </c>
      <c r="G122" s="49">
        <f t="shared" si="37"/>
        <v>-10616.509999999998</v>
      </c>
      <c r="H122" s="40">
        <f t="shared" si="39"/>
        <v>17.881624034095744</v>
      </c>
      <c r="I122" s="60">
        <f t="shared" si="38"/>
        <v>-20766.21</v>
      </c>
      <c r="J122" s="60">
        <f>F122/D122*100</f>
        <v>10.017289193170985</v>
      </c>
      <c r="K122" s="60">
        <f>F122-22303.9</f>
        <v>-19992.11</v>
      </c>
      <c r="L122" s="138">
        <f>F122/22303.9</f>
        <v>0.10364958594685234</v>
      </c>
      <c r="M122" s="40">
        <f>E122-серпень!E122</f>
        <v>3314.2999999999993</v>
      </c>
      <c r="N122" s="40">
        <f>F122-серпень!F122</f>
        <v>20</v>
      </c>
      <c r="O122" s="53">
        <f t="shared" si="41"/>
        <v>-3294.2999999999993</v>
      </c>
      <c r="P122" s="60">
        <f t="shared" si="42"/>
        <v>0.6034456748031259</v>
      </c>
      <c r="Q122" s="60">
        <f>N122-7566.7</f>
        <v>-7546.7</v>
      </c>
      <c r="R122" s="138">
        <f>N122/7566.7</f>
        <v>0.002643160162290034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940.13</v>
      </c>
      <c r="G123" s="49">
        <f t="shared" si="37"/>
        <v>-491.09000000000003</v>
      </c>
      <c r="H123" s="40">
        <f t="shared" si="39"/>
        <v>65.68731571666132</v>
      </c>
      <c r="I123" s="60">
        <f t="shared" si="38"/>
        <v>-1059.87</v>
      </c>
      <c r="J123" s="60">
        <f>F123/D123*100</f>
        <v>47.0065</v>
      </c>
      <c r="K123" s="60">
        <f>F123-1660.3</f>
        <v>-720.17</v>
      </c>
      <c r="L123" s="138">
        <f>F123/1660.3</f>
        <v>0.5662410407757634</v>
      </c>
      <c r="M123" s="40">
        <f>E123-серпень!E123</f>
        <v>189.58999999999992</v>
      </c>
      <c r="N123" s="40">
        <f>F123-серпень!F123</f>
        <v>75.50999999999999</v>
      </c>
      <c r="O123" s="53">
        <f t="shared" si="41"/>
        <v>-114.07999999999993</v>
      </c>
      <c r="P123" s="60">
        <f t="shared" si="42"/>
        <v>39.82805000263728</v>
      </c>
      <c r="Q123" s="60">
        <f>N123-20.2</f>
        <v>55.30999999999999</v>
      </c>
      <c r="R123" s="138">
        <f>N123/20.2</f>
        <v>3.7381188118811877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68782.62</v>
      </c>
      <c r="F124" s="173">
        <f>F120+F121+F122+F123+F119</f>
        <v>62791.090000000004</v>
      </c>
      <c r="G124" s="62">
        <f t="shared" si="37"/>
        <v>-5991.529999999992</v>
      </c>
      <c r="H124" s="72">
        <f t="shared" si="39"/>
        <v>91.28918031909807</v>
      </c>
      <c r="I124" s="61">
        <f t="shared" si="38"/>
        <v>-39280.1</v>
      </c>
      <c r="J124" s="61">
        <f>F124/D124*100</f>
        <v>61.516956939563464</v>
      </c>
      <c r="K124" s="61">
        <f>F124-76087.4</f>
        <v>-13296.30999999999</v>
      </c>
      <c r="L124" s="139">
        <f>F124/76087.4</f>
        <v>0.8252495156885372</v>
      </c>
      <c r="M124" s="62">
        <f>M120+M121+M122+M123+M119</f>
        <v>6608.889999999999</v>
      </c>
      <c r="N124" s="62">
        <f>N120+N121+N122+N123+N119</f>
        <v>1476.5700000000033</v>
      </c>
      <c r="O124" s="61">
        <f t="shared" si="41"/>
        <v>-5132.319999999996</v>
      </c>
      <c r="P124" s="61">
        <f t="shared" si="42"/>
        <v>22.34217848988262</v>
      </c>
      <c r="Q124" s="61">
        <f>N124-10790.5</f>
        <v>-9313.929999999997</v>
      </c>
      <c r="R124" s="139">
        <f>N124/10790.5</f>
        <v>0.1368398127982951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14.17</v>
      </c>
      <c r="G125" s="49">
        <f t="shared" si="37"/>
        <v>-12.99</v>
      </c>
      <c r="H125" s="40">
        <f t="shared" si="39"/>
        <v>52.17231222385862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E125-серпень!E125</f>
        <v>4</v>
      </c>
      <c r="N125" s="40">
        <f>F125-серпень!F125</f>
        <v>0</v>
      </c>
      <c r="O125" s="53">
        <f t="shared" si="41"/>
        <v>-4</v>
      </c>
      <c r="P125" s="60">
        <f t="shared" si="42"/>
        <v>0</v>
      </c>
      <c r="Q125" s="60">
        <f>N125-0</f>
        <v>0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7366.18</v>
      </c>
      <c r="G128" s="49">
        <f aca="true" t="shared" si="43" ref="G128:G135">F128-E128</f>
        <v>647.6800000000003</v>
      </c>
      <c r="H128" s="40">
        <f>F128/E128*100</f>
        <v>109.64024707896107</v>
      </c>
      <c r="I128" s="60">
        <f aca="true" t="shared" si="44" ref="I128:I135">F128-D128</f>
        <v>-1333.8199999999997</v>
      </c>
      <c r="J128" s="60">
        <f>F128/D128*100</f>
        <v>84.66873563218391</v>
      </c>
      <c r="K128" s="60">
        <f>F128-8715.2</f>
        <v>-1349.0200000000004</v>
      </c>
      <c r="L128" s="138">
        <f>F128/8715.2</f>
        <v>0.8452106664218836</v>
      </c>
      <c r="M128" s="40">
        <f>E128-серпень!E128</f>
        <v>1</v>
      </c>
      <c r="N128" s="40">
        <f>F128-серпень!F128</f>
        <v>2.6599999999998545</v>
      </c>
      <c r="O128" s="53">
        <f aca="true" t="shared" si="45" ref="O128:O135">N128-M128</f>
        <v>1.6599999999998545</v>
      </c>
      <c r="P128" s="60">
        <f>N128/M128*100</f>
        <v>265.99999999998545</v>
      </c>
      <c r="Q128" s="60">
        <f>N128-35</f>
        <v>-32.340000000000146</v>
      </c>
      <c r="R128" s="162">
        <f>N128/35</f>
        <v>0.07599999999999585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0.89</v>
      </c>
      <c r="G129" s="49">
        <f t="shared" si="43"/>
        <v>0.89</v>
      </c>
      <c r="H129" s="40"/>
      <c r="I129" s="60">
        <f t="shared" si="44"/>
        <v>0.89</v>
      </c>
      <c r="J129" s="60"/>
      <c r="K129" s="60">
        <f>F129-1</f>
        <v>-0.10999999999999999</v>
      </c>
      <c r="L129" s="138">
        <f>F129/1</f>
        <v>0.89</v>
      </c>
      <c r="M129" s="40">
        <f>E129-серпень!E129</f>
        <v>0</v>
      </c>
      <c r="N129" s="40">
        <f>F129-серпень!F129</f>
        <v>0.040000000000000036</v>
      </c>
      <c r="O129" s="53">
        <f t="shared" si="45"/>
        <v>0.040000000000000036</v>
      </c>
      <c r="P129" s="60"/>
      <c r="Q129" s="60">
        <f>N129-0.7</f>
        <v>-0.6599999999999999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7400.72</v>
      </c>
      <c r="G130" s="62">
        <f t="shared" si="43"/>
        <v>647.8600000000006</v>
      </c>
      <c r="H130" s="72">
        <f>F130/E130*100</f>
        <v>109.5938609714995</v>
      </c>
      <c r="I130" s="61">
        <f t="shared" si="44"/>
        <v>-1349.9800000000005</v>
      </c>
      <c r="J130" s="61">
        <f>F130/D130*100</f>
        <v>84.57289131155221</v>
      </c>
      <c r="K130" s="61">
        <f>F130-8836.4</f>
        <v>-1435.6799999999994</v>
      </c>
      <c r="L130" s="139">
        <f>G130/8836.4</f>
        <v>0.0733171879951112</v>
      </c>
      <c r="M130" s="62">
        <f>M125+M128+M129+M127</f>
        <v>5</v>
      </c>
      <c r="N130" s="62">
        <f>N125+N128+N129+N127</f>
        <v>2.6999999999998545</v>
      </c>
      <c r="O130" s="61">
        <f t="shared" si="45"/>
        <v>-2.3000000000001455</v>
      </c>
      <c r="P130" s="61">
        <f>N130/M130*100</f>
        <v>53.999999999997094</v>
      </c>
      <c r="Q130" s="61">
        <f>N130-35.8</f>
        <v>-33.10000000000014</v>
      </c>
      <c r="R130" s="137">
        <f>N130/35.8</f>
        <v>0.07541899441340376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22.62</v>
      </c>
      <c r="G131" s="49">
        <f>F131-E131</f>
        <v>-0.8299999999999983</v>
      </c>
      <c r="H131" s="40">
        <f>F131/E131*100</f>
        <v>96.46055437100213</v>
      </c>
      <c r="I131" s="60">
        <f>F131-D131</f>
        <v>-7.379999999999999</v>
      </c>
      <c r="J131" s="60">
        <f>F131/D131*100</f>
        <v>75.4</v>
      </c>
      <c r="K131" s="60">
        <f>F131-25.4</f>
        <v>-2.7799999999999976</v>
      </c>
      <c r="L131" s="138">
        <f>F131/25.4</f>
        <v>0.8905511811023623</v>
      </c>
      <c r="M131" s="40">
        <f>E131-серпень!E131</f>
        <v>7</v>
      </c>
      <c r="N131" s="40">
        <f>F131-серпень!F131</f>
        <v>0</v>
      </c>
      <c r="O131" s="53">
        <f>N131-M131</f>
        <v>-7</v>
      </c>
      <c r="P131" s="60">
        <f>N131/M131*100</f>
        <v>0</v>
      </c>
      <c r="Q131" s="60">
        <f>N131-7.6</f>
        <v>-7.6</v>
      </c>
      <c r="R131" s="138">
        <f>N131/7.6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78439.03</v>
      </c>
      <c r="F134" s="31">
        <f>F117+F131+F124+F130+F133+F132</f>
        <v>71491.15</v>
      </c>
      <c r="G134" s="50">
        <f t="shared" si="43"/>
        <v>-6947.880000000005</v>
      </c>
      <c r="H134" s="51">
        <f>F134/E134*100</f>
        <v>91.14231779765761</v>
      </c>
      <c r="I134" s="36">
        <f t="shared" si="44"/>
        <v>-43300.34000000001</v>
      </c>
      <c r="J134" s="36">
        <f>F134/D134*100</f>
        <v>62.27913759112281</v>
      </c>
      <c r="K134" s="36">
        <f>F134-88248.3</f>
        <v>-16757.15000000001</v>
      </c>
      <c r="L134" s="136">
        <f>F134/88248.3</f>
        <v>0.8101136225853641</v>
      </c>
      <c r="M134" s="31">
        <f>M117+M131+M124+M130+M133+M132</f>
        <v>6970.389999999999</v>
      </c>
      <c r="N134" s="31">
        <f>N117+N131+N124+N130+N133+N132</f>
        <v>1564.1100000000033</v>
      </c>
      <c r="O134" s="36">
        <f t="shared" si="45"/>
        <v>-5406.279999999996</v>
      </c>
      <c r="P134" s="36">
        <f>N134/M134*100</f>
        <v>22.439347009277867</v>
      </c>
      <c r="Q134" s="36">
        <f>N134-11009.7</f>
        <v>-9445.589999999997</v>
      </c>
      <c r="R134" s="136">
        <f>N134/11009.7</f>
        <v>0.14206654132265215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442002.0299999999</v>
      </c>
      <c r="F135" s="31">
        <f>F107+F134</f>
        <v>403551.4199999999</v>
      </c>
      <c r="G135" s="50">
        <f t="shared" si="43"/>
        <v>-38450.609999999986</v>
      </c>
      <c r="H135" s="51">
        <f>F135/E135*100</f>
        <v>91.30080692163337</v>
      </c>
      <c r="I135" s="36">
        <f t="shared" si="44"/>
        <v>-218119.67000000004</v>
      </c>
      <c r="J135" s="36">
        <f>F135/D135*100</f>
        <v>64.91397565230191</v>
      </c>
      <c r="K135" s="36">
        <f>F135-447136.8</f>
        <v>-43585.38000000006</v>
      </c>
      <c r="L135" s="136">
        <f>F135/447136.8</f>
        <v>0.902523388815235</v>
      </c>
      <c r="M135" s="22">
        <f>M107+M134</f>
        <v>47899.299999999996</v>
      </c>
      <c r="N135" s="22">
        <f>N107+N134</f>
        <v>16061.280000000028</v>
      </c>
      <c r="O135" s="36">
        <f t="shared" si="45"/>
        <v>-31838.019999999968</v>
      </c>
      <c r="P135" s="36">
        <f>N135/M135*100</f>
        <v>33.53134596956538</v>
      </c>
      <c r="Q135" s="36">
        <f>N135-50142.9</f>
        <v>-34081.61999999997</v>
      </c>
      <c r="R135" s="136">
        <f>N135/50142.9</f>
        <v>0.32031015358106585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12</v>
      </c>
      <c r="D137" s="4" t="s">
        <v>118</v>
      </c>
    </row>
    <row r="138" spans="2:17" ht="31.5">
      <c r="B138" s="78" t="s">
        <v>154</v>
      </c>
      <c r="C138" s="39">
        <f>IF(O107&lt;0,ABS(O107/C137),0)</f>
        <v>2202.6449999999977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41894</v>
      </c>
      <c r="D139" s="39">
        <v>1256.2</v>
      </c>
      <c r="N139" s="209"/>
      <c r="O139" s="209"/>
    </row>
    <row r="140" spans="3:15" ht="15.75">
      <c r="C140" s="120">
        <v>41893</v>
      </c>
      <c r="D140" s="39">
        <v>558.3</v>
      </c>
      <c r="F140" s="4" t="s">
        <v>166</v>
      </c>
      <c r="G140" s="210" t="s">
        <v>151</v>
      </c>
      <c r="H140" s="210"/>
      <c r="I140" s="115">
        <v>9020.59653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41892</v>
      </c>
      <c r="D141" s="39">
        <v>851.6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122535.3721</v>
      </c>
      <c r="E143" s="80"/>
      <c r="F143" s="100" t="s">
        <v>147</v>
      </c>
      <c r="G143" s="210" t="s">
        <v>149</v>
      </c>
      <c r="H143" s="210"/>
      <c r="I143" s="116">
        <v>113514.77557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24260.690059999994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1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266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261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259</v>
      </c>
      <c r="H4" s="198" t="s">
        <v>260</v>
      </c>
      <c r="I4" s="200" t="s">
        <v>188</v>
      </c>
      <c r="J4" s="202" t="s">
        <v>189</v>
      </c>
      <c r="K4" s="204" t="s">
        <v>264</v>
      </c>
      <c r="L4" s="205"/>
      <c r="M4" s="192"/>
      <c r="N4" s="175" t="s">
        <v>267</v>
      </c>
      <c r="O4" s="200" t="s">
        <v>136</v>
      </c>
      <c r="P4" s="200" t="s">
        <v>135</v>
      </c>
      <c r="Q4" s="204" t="s">
        <v>265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258</v>
      </c>
      <c r="F5" s="195"/>
      <c r="G5" s="197"/>
      <c r="H5" s="199"/>
      <c r="I5" s="201"/>
      <c r="J5" s="203"/>
      <c r="K5" s="206"/>
      <c r="L5" s="207"/>
      <c r="M5" s="151" t="s">
        <v>262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636</v>
      </c>
      <c r="G102" s="144"/>
      <c r="H102" s="146"/>
      <c r="I102" s="145"/>
      <c r="J102" s="145"/>
      <c r="K102" s="148">
        <f>F102-421.2</f>
        <v>214.8</v>
      </c>
      <c r="L102" s="149">
        <f>F102/421.2</f>
        <v>1.50997150997151</v>
      </c>
      <c r="M102" s="40">
        <f>E102-липень!E102</f>
        <v>0</v>
      </c>
      <c r="N102" s="40">
        <f>F102-липень!F102</f>
        <v>166.10000000000002</v>
      </c>
      <c r="O102" s="53"/>
      <c r="P102" s="60"/>
      <c r="Q102" s="60">
        <f>N102-95.6</f>
        <v>70.50000000000003</v>
      </c>
      <c r="R102" s="138">
        <f>N102/95.6</f>
        <v>1.7374476987447702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209"/>
      <c r="O139" s="209"/>
    </row>
    <row r="140" spans="3:15" ht="15.75">
      <c r="C140" s="120">
        <v>41879</v>
      </c>
      <c r="D140" s="39">
        <v>3653.6</v>
      </c>
      <c r="F140" s="4" t="s">
        <v>166</v>
      </c>
      <c r="G140" s="210" t="s">
        <v>151</v>
      </c>
      <c r="H140" s="210"/>
      <c r="I140" s="115">
        <v>13829.857960000001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41878</v>
      </c>
      <c r="D141" s="39">
        <v>1194.3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127799.14</v>
      </c>
      <c r="E143" s="80"/>
      <c r="F143" s="100" t="s">
        <v>147</v>
      </c>
      <c r="G143" s="210" t="s">
        <v>149</v>
      </c>
      <c r="H143" s="210"/>
      <c r="I143" s="116">
        <v>113969.28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18493.9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256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252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249</v>
      </c>
      <c r="H4" s="198" t="s">
        <v>250</v>
      </c>
      <c r="I4" s="200" t="s">
        <v>188</v>
      </c>
      <c r="J4" s="202" t="s">
        <v>189</v>
      </c>
      <c r="K4" s="204" t="s">
        <v>254</v>
      </c>
      <c r="L4" s="205"/>
      <c r="M4" s="192"/>
      <c r="N4" s="175" t="s">
        <v>257</v>
      </c>
      <c r="O4" s="200" t="s">
        <v>136</v>
      </c>
      <c r="P4" s="200" t="s">
        <v>135</v>
      </c>
      <c r="Q4" s="204" t="s">
        <v>255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248</v>
      </c>
      <c r="F5" s="195"/>
      <c r="G5" s="197"/>
      <c r="H5" s="199"/>
      <c r="I5" s="201"/>
      <c r="J5" s="203"/>
      <c r="K5" s="206"/>
      <c r="L5" s="207"/>
      <c r="M5" s="151" t="s">
        <v>251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209"/>
      <c r="O139" s="209"/>
    </row>
    <row r="140" spans="3:15" ht="15.75">
      <c r="C140" s="120">
        <v>41850</v>
      </c>
      <c r="D140" s="39">
        <v>4320</v>
      </c>
      <c r="F140" s="4" t="s">
        <v>166</v>
      </c>
      <c r="G140" s="210" t="s">
        <v>151</v>
      </c>
      <c r="H140" s="210"/>
      <c r="I140" s="115">
        <f>13825221.96/1000</f>
        <v>13825.22196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41849</v>
      </c>
      <c r="D141" s="39">
        <v>4403.7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f>120856761.09/1000</f>
        <v>120856.76109</v>
      </c>
      <c r="E143" s="80"/>
      <c r="F143" s="100" t="s">
        <v>147</v>
      </c>
      <c r="G143" s="210" t="s">
        <v>149</v>
      </c>
      <c r="H143" s="210"/>
      <c r="I143" s="116">
        <f>107031539.13/1000</f>
        <v>107031.53912999999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f>26199804.73/1000</f>
        <v>26199.80473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J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246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243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238</v>
      </c>
      <c r="H4" s="198" t="s">
        <v>239</v>
      </c>
      <c r="I4" s="200" t="s">
        <v>188</v>
      </c>
      <c r="J4" s="202" t="s">
        <v>189</v>
      </c>
      <c r="K4" s="204" t="s">
        <v>240</v>
      </c>
      <c r="L4" s="205"/>
      <c r="M4" s="192"/>
      <c r="N4" s="175" t="s">
        <v>247</v>
      </c>
      <c r="O4" s="200" t="s">
        <v>136</v>
      </c>
      <c r="P4" s="200" t="s">
        <v>135</v>
      </c>
      <c r="Q4" s="204" t="s">
        <v>242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237</v>
      </c>
      <c r="F5" s="195"/>
      <c r="G5" s="197"/>
      <c r="H5" s="199"/>
      <c r="I5" s="201"/>
      <c r="J5" s="203"/>
      <c r="K5" s="206"/>
      <c r="L5" s="207"/>
      <c r="M5" s="151" t="s">
        <v>241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209"/>
      <c r="O139" s="209"/>
    </row>
    <row r="140" spans="3:15" ht="15.75">
      <c r="C140" s="120">
        <v>41816</v>
      </c>
      <c r="D140" s="39">
        <v>4277.2</v>
      </c>
      <c r="F140" s="4" t="s">
        <v>166</v>
      </c>
      <c r="G140" s="210" t="s">
        <v>151</v>
      </c>
      <c r="H140" s="210"/>
      <c r="I140" s="115">
        <f>'[1]залишки  (2)'!$G$9/1000</f>
        <v>9020.59653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117976.29</v>
      </c>
      <c r="E143" s="80"/>
      <c r="F143" s="100" t="s">
        <v>147</v>
      </c>
      <c r="G143" s="210" t="s">
        <v>149</v>
      </c>
      <c r="H143" s="210"/>
      <c r="I143" s="116">
        <v>104151.07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41386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235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233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229</v>
      </c>
      <c r="H4" s="198" t="s">
        <v>230</v>
      </c>
      <c r="I4" s="200" t="s">
        <v>188</v>
      </c>
      <c r="J4" s="202" t="s">
        <v>189</v>
      </c>
      <c r="K4" s="204" t="s">
        <v>231</v>
      </c>
      <c r="L4" s="205"/>
      <c r="M4" s="192"/>
      <c r="N4" s="175" t="s">
        <v>236</v>
      </c>
      <c r="O4" s="200" t="s">
        <v>136</v>
      </c>
      <c r="P4" s="200" t="s">
        <v>135</v>
      </c>
      <c r="Q4" s="204" t="s">
        <v>234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228</v>
      </c>
      <c r="F5" s="195"/>
      <c r="G5" s="197"/>
      <c r="H5" s="199"/>
      <c r="I5" s="201"/>
      <c r="J5" s="203"/>
      <c r="K5" s="206"/>
      <c r="L5" s="207"/>
      <c r="M5" s="151" t="s">
        <v>232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209"/>
      <c r="O138" s="209"/>
    </row>
    <row r="139" spans="3:15" ht="15.75">
      <c r="C139" s="120">
        <v>41788</v>
      </c>
      <c r="D139" s="39">
        <v>5993.3</v>
      </c>
      <c r="F139" s="4" t="s">
        <v>166</v>
      </c>
      <c r="G139" s="210" t="s">
        <v>151</v>
      </c>
      <c r="H139" s="210"/>
      <c r="I139" s="115">
        <v>13825.22196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118982.48</v>
      </c>
      <c r="E142" s="80"/>
      <c r="F142" s="100" t="s">
        <v>147</v>
      </c>
      <c r="G142" s="210" t="s">
        <v>149</v>
      </c>
      <c r="H142" s="210"/>
      <c r="I142" s="116">
        <v>105157.26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27359.4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226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221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217</v>
      </c>
      <c r="H4" s="198" t="s">
        <v>218</v>
      </c>
      <c r="I4" s="200" t="s">
        <v>188</v>
      </c>
      <c r="J4" s="202" t="s">
        <v>189</v>
      </c>
      <c r="K4" s="204" t="s">
        <v>219</v>
      </c>
      <c r="L4" s="205"/>
      <c r="M4" s="192"/>
      <c r="N4" s="175" t="s">
        <v>227</v>
      </c>
      <c r="O4" s="200" t="s">
        <v>136</v>
      </c>
      <c r="P4" s="200" t="s">
        <v>135</v>
      </c>
      <c r="Q4" s="204" t="s">
        <v>222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216</v>
      </c>
      <c r="F5" s="195"/>
      <c r="G5" s="197"/>
      <c r="H5" s="199"/>
      <c r="I5" s="201"/>
      <c r="J5" s="203"/>
      <c r="K5" s="206"/>
      <c r="L5" s="207"/>
      <c r="M5" s="151" t="s">
        <v>220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209"/>
      <c r="O138" s="209"/>
    </row>
    <row r="139" spans="3:15" ht="15.75">
      <c r="C139" s="120">
        <v>41758</v>
      </c>
      <c r="D139" s="39">
        <v>5440.9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123251.48</v>
      </c>
      <c r="E142" s="80"/>
      <c r="F142" s="100" t="s">
        <v>147</v>
      </c>
      <c r="G142" s="210" t="s">
        <v>149</v>
      </c>
      <c r="H142" s="210"/>
      <c r="I142" s="116">
        <v>109426.25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f>'[1]надх'!$B$52/1000</f>
        <v>24260.690059999994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1" t="s">
        <v>212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208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210</v>
      </c>
      <c r="N3" s="193" t="s">
        <v>198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207</v>
      </c>
      <c r="H4" s="198" t="s">
        <v>195</v>
      </c>
      <c r="I4" s="200" t="s">
        <v>188</v>
      </c>
      <c r="J4" s="202" t="s">
        <v>189</v>
      </c>
      <c r="K4" s="204" t="s">
        <v>196</v>
      </c>
      <c r="L4" s="205"/>
      <c r="M4" s="192"/>
      <c r="N4" s="175" t="s">
        <v>213</v>
      </c>
      <c r="O4" s="200" t="s">
        <v>136</v>
      </c>
      <c r="P4" s="200" t="s">
        <v>135</v>
      </c>
      <c r="Q4" s="204" t="s">
        <v>197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214</v>
      </c>
      <c r="F5" s="195"/>
      <c r="G5" s="197"/>
      <c r="H5" s="199"/>
      <c r="I5" s="201"/>
      <c r="J5" s="203"/>
      <c r="K5" s="206"/>
      <c r="L5" s="207"/>
      <c r="M5" s="151" t="s">
        <v>211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209"/>
      <c r="O138" s="209"/>
    </row>
    <row r="139" spans="3:15" ht="15.75">
      <c r="C139" s="120">
        <v>41726</v>
      </c>
      <c r="D139" s="39">
        <v>4682.6</v>
      </c>
      <c r="F139" s="4" t="s">
        <v>166</v>
      </c>
      <c r="G139" s="210" t="s">
        <v>151</v>
      </c>
      <c r="H139" s="210"/>
      <c r="I139" s="115">
        <v>13825.22196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114985.02570999999</v>
      </c>
      <c r="E142" s="80"/>
      <c r="F142" s="100" t="s">
        <v>147</v>
      </c>
      <c r="G142" s="210" t="s">
        <v>149</v>
      </c>
      <c r="H142" s="210"/>
      <c r="I142" s="116">
        <v>101159.80375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3918.1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225" t="s">
        <v>187</v>
      </c>
      <c r="E3" s="46"/>
      <c r="F3" s="226" t="s">
        <v>107</v>
      </c>
      <c r="G3" s="227"/>
      <c r="H3" s="227"/>
      <c r="I3" s="227"/>
      <c r="J3" s="228"/>
      <c r="K3" s="123"/>
      <c r="L3" s="123"/>
      <c r="M3" s="229" t="s">
        <v>190</v>
      </c>
      <c r="N3" s="220" t="s">
        <v>185</v>
      </c>
      <c r="O3" s="220"/>
      <c r="P3" s="220"/>
      <c r="Q3" s="220"/>
      <c r="R3" s="220"/>
    </row>
    <row r="4" spans="1:18" ht="22.5" customHeight="1">
      <c r="A4" s="183"/>
      <c r="B4" s="185"/>
      <c r="C4" s="186"/>
      <c r="D4" s="225"/>
      <c r="E4" s="230" t="s">
        <v>191</v>
      </c>
      <c r="F4" s="221" t="s">
        <v>116</v>
      </c>
      <c r="G4" s="223" t="s">
        <v>167</v>
      </c>
      <c r="H4" s="198" t="s">
        <v>168</v>
      </c>
      <c r="I4" s="218" t="s">
        <v>188</v>
      </c>
      <c r="J4" s="216" t="s">
        <v>189</v>
      </c>
      <c r="K4" s="125" t="s">
        <v>174</v>
      </c>
      <c r="L4" s="130" t="s">
        <v>173</v>
      </c>
      <c r="M4" s="229"/>
      <c r="N4" s="175" t="s">
        <v>194</v>
      </c>
      <c r="O4" s="218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4"/>
      <c r="B5" s="185"/>
      <c r="C5" s="186"/>
      <c r="D5" s="225"/>
      <c r="E5" s="231"/>
      <c r="F5" s="222"/>
      <c r="G5" s="224"/>
      <c r="H5" s="199"/>
      <c r="I5" s="219"/>
      <c r="J5" s="217"/>
      <c r="K5" s="206" t="s">
        <v>184</v>
      </c>
      <c r="L5" s="207"/>
      <c r="M5" s="229"/>
      <c r="N5" s="176"/>
      <c r="O5" s="219"/>
      <c r="P5" s="220"/>
      <c r="Q5" s="206" t="s">
        <v>199</v>
      </c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209"/>
      <c r="O138" s="209"/>
    </row>
    <row r="139" spans="3:15" ht="15.75">
      <c r="C139" s="120">
        <v>41697</v>
      </c>
      <c r="D139" s="39">
        <v>2276.8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f>'[1]залишки  (2)'!$G$8/1000</f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121970.53</v>
      </c>
      <c r="E142" s="80"/>
      <c r="F142" s="100" t="s">
        <v>147</v>
      </c>
      <c r="G142" s="210" t="s">
        <v>149</v>
      </c>
      <c r="H142" s="210"/>
      <c r="I142" s="116">
        <v>108145.31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0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1" t="s">
        <v>183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225" t="s">
        <v>192</v>
      </c>
      <c r="E3" s="46"/>
      <c r="F3" s="226" t="s">
        <v>107</v>
      </c>
      <c r="G3" s="227"/>
      <c r="H3" s="227"/>
      <c r="I3" s="227"/>
      <c r="J3" s="228"/>
      <c r="K3" s="123"/>
      <c r="L3" s="123"/>
      <c r="M3" s="202" t="s">
        <v>200</v>
      </c>
      <c r="N3" s="220" t="s">
        <v>178</v>
      </c>
      <c r="O3" s="220"/>
      <c r="P3" s="220"/>
      <c r="Q3" s="220"/>
      <c r="R3" s="220"/>
    </row>
    <row r="4" spans="1:18" ht="22.5" customHeight="1">
      <c r="A4" s="183"/>
      <c r="B4" s="185"/>
      <c r="C4" s="186"/>
      <c r="D4" s="225"/>
      <c r="E4" s="230" t="s">
        <v>153</v>
      </c>
      <c r="F4" s="221" t="s">
        <v>116</v>
      </c>
      <c r="G4" s="223" t="s">
        <v>175</v>
      </c>
      <c r="H4" s="198" t="s">
        <v>176</v>
      </c>
      <c r="I4" s="218" t="s">
        <v>188</v>
      </c>
      <c r="J4" s="216" t="s">
        <v>189</v>
      </c>
      <c r="K4" s="125" t="s">
        <v>174</v>
      </c>
      <c r="L4" s="130" t="s">
        <v>173</v>
      </c>
      <c r="M4" s="232"/>
      <c r="N4" s="175" t="s">
        <v>186</v>
      </c>
      <c r="O4" s="218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4"/>
      <c r="B5" s="185"/>
      <c r="C5" s="186"/>
      <c r="D5" s="225"/>
      <c r="E5" s="231"/>
      <c r="F5" s="222"/>
      <c r="G5" s="224"/>
      <c r="H5" s="199"/>
      <c r="I5" s="219"/>
      <c r="J5" s="217"/>
      <c r="K5" s="206" t="s">
        <v>177</v>
      </c>
      <c r="L5" s="207"/>
      <c r="M5" s="203"/>
      <c r="N5" s="176"/>
      <c r="O5" s="219"/>
      <c r="P5" s="220"/>
      <c r="Q5" s="206" t="s">
        <v>179</v>
      </c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209"/>
      <c r="O138" s="209"/>
    </row>
    <row r="139" spans="3:15" ht="15.75">
      <c r="C139" s="120">
        <v>41669</v>
      </c>
      <c r="D139" s="39">
        <v>4752.2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111410.62</v>
      </c>
      <c r="E142" s="80"/>
      <c r="F142" s="100" t="s">
        <v>147</v>
      </c>
      <c r="G142" s="210" t="s">
        <v>149</v>
      </c>
      <c r="H142" s="210"/>
      <c r="I142" s="116">
        <v>97585.4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0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2014-09-15T09:35:58Z</cp:lastPrinted>
  <dcterms:created xsi:type="dcterms:W3CDTF">2003-07-28T11:27:56Z</dcterms:created>
  <dcterms:modified xsi:type="dcterms:W3CDTF">2014-09-15T09:56:36Z</dcterms:modified>
  <cp:category/>
  <cp:version/>
  <cp:contentType/>
  <cp:contentStatus/>
</cp:coreProperties>
</file>